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570" windowHeight="12405"/>
  </bookViews>
  <sheets>
    <sheet name="Ежекварт 2018 Проект" sheetId="1" r:id="rId1"/>
  </sheets>
  <calcPr calcId="145621" refMode="R1C1"/>
</workbook>
</file>

<file path=xl/calcChain.xml><?xml version="1.0" encoding="utf-8"?>
<calcChain xmlns="http://schemas.openxmlformats.org/spreadsheetml/2006/main">
  <c r="C15" i="1" l="1"/>
  <c r="C16" i="1"/>
  <c r="C36" i="1" l="1"/>
  <c r="C27" i="1" l="1"/>
  <c r="C40" i="1"/>
  <c r="C39" i="1"/>
  <c r="D39" i="1" s="1"/>
  <c r="C38" i="1"/>
  <c r="D38" i="1" s="1"/>
  <c r="C37" i="1"/>
  <c r="D37" i="1" s="1"/>
  <c r="D36" i="1"/>
  <c r="C35" i="1"/>
  <c r="D35" i="1" s="1"/>
  <c r="C34" i="1"/>
  <c r="D34" i="1" s="1"/>
  <c r="C33" i="1"/>
  <c r="C32" i="1"/>
  <c r="D32" i="1" s="1"/>
  <c r="C31" i="1"/>
  <c r="D40" i="1"/>
  <c r="D33" i="1"/>
  <c r="D51" i="1"/>
  <c r="C51" i="1"/>
  <c r="C50" i="1"/>
  <c r="D50" i="1" s="1"/>
  <c r="D29" i="1"/>
  <c r="C21" i="1"/>
  <c r="C20" i="1"/>
  <c r="D31" i="1" l="1"/>
  <c r="C42" i="1"/>
  <c r="D42" i="1" s="1"/>
  <c r="C45" i="1"/>
  <c r="C26" i="1"/>
  <c r="C23" i="1"/>
  <c r="C22" i="1"/>
  <c r="C25" i="1" l="1"/>
  <c r="C43" i="1"/>
  <c r="C56" i="1" l="1"/>
  <c r="D56" i="1" s="1"/>
  <c r="C58" i="1" l="1"/>
  <c r="D57" i="1"/>
  <c r="D59" i="1"/>
  <c r="C55" i="1"/>
  <c r="D55" i="1" s="1"/>
  <c r="D58" i="1" l="1"/>
  <c r="C54" i="1"/>
  <c r="D54" i="1" s="1"/>
  <c r="D24" i="1" l="1"/>
  <c r="C49" i="1"/>
  <c r="D25" i="1"/>
  <c r="D23" i="1"/>
  <c r="D53" i="1" l="1"/>
  <c r="D49" i="1"/>
  <c r="C48" i="1"/>
  <c r="D48" i="1" s="1"/>
  <c r="C46" i="1"/>
  <c r="D45" i="1"/>
  <c r="D43" i="1"/>
  <c r="D27" i="1"/>
  <c r="D26" i="1"/>
  <c r="D22" i="1"/>
  <c r="D21" i="1"/>
  <c r="C17" i="1"/>
  <c r="D46" i="1" l="1"/>
  <c r="C60" i="1"/>
  <c r="D20" i="1"/>
  <c r="C61" i="1" l="1"/>
  <c r="C62" i="1" l="1"/>
  <c r="C63" i="1" s="1"/>
  <c r="C65" i="1" s="1"/>
  <c r="D65" i="1" s="1"/>
  <c r="D61" i="1"/>
</calcChain>
</file>

<file path=xl/sharedStrings.xml><?xml version="1.0" encoding="utf-8"?>
<sst xmlns="http://schemas.openxmlformats.org/spreadsheetml/2006/main" count="106" uniqueCount="100">
  <si>
    <t>ТОВАРИЩЕСТВО СОБСТВЕННИКОВ НЕДВИЖИМОСТИ</t>
  </si>
  <si>
    <t xml:space="preserve"> ЗЕМЕЛЬНЫХ УЧАСТКОВ "УДАЧНЫЙ"</t>
  </si>
  <si>
    <t>Утверждена Общим Собранием</t>
  </si>
  <si>
    <t>членов ТСН "Удачный"</t>
  </si>
  <si>
    <t>Наименование статьи расходов</t>
  </si>
  <si>
    <t>Расчет</t>
  </si>
  <si>
    <t>Сумма, руб.</t>
  </si>
  <si>
    <t>В год</t>
  </si>
  <si>
    <t>В месяц с собственника</t>
  </si>
  <si>
    <t>ПРИХОДНАЯ ЧАСТЬ</t>
  </si>
  <si>
    <t>Ежеквартальные взносы членов ТСН (членские взносы)</t>
  </si>
  <si>
    <t>РАСХОДНАЯ ЧАСТЬ</t>
  </si>
  <si>
    <t>1 200 руб. х 12 мес.</t>
  </si>
  <si>
    <t>Почтовые расходы</t>
  </si>
  <si>
    <t>ЗП бухгалтера</t>
  </si>
  <si>
    <t>Страховые взносы с ФОТ</t>
  </si>
  <si>
    <t>Налог на землю (ЗОП)</t>
  </si>
  <si>
    <t>(234 816,06 + 49 035,96 +                              + 45 255,15 + 2 502 017,85) руб. х 0,3%</t>
  </si>
  <si>
    <t>Аренда помещения по юридическому адресу</t>
  </si>
  <si>
    <t>один раз в год</t>
  </si>
  <si>
    <t>Сдача бухгалтерской отчетности через интернет (Астрал-отчет, тариф Оптимальный, МО, УСНО)</t>
  </si>
  <si>
    <t>Итого, в квартал, с собственника</t>
  </si>
  <si>
    <t>Председатель правления ТСН "Удачный"</t>
  </si>
  <si>
    <t>___________________/Новоселова Н.Г./</t>
  </si>
  <si>
    <t>М.П.</t>
  </si>
  <si>
    <t>Ежеквартальные взносы по договорам с индивидуальными собственниками</t>
  </si>
  <si>
    <t>Всего, в квартал:</t>
  </si>
  <si>
    <t>Всего, в год:</t>
  </si>
  <si>
    <t>Итого, в год:</t>
  </si>
  <si>
    <t>Итого:</t>
  </si>
  <si>
    <t xml:space="preserve"> (членский, ежеквартальный взнос)</t>
  </si>
  <si>
    <t>Содержание и обслуживание имущества общего пользования</t>
  </si>
  <si>
    <t>Организационно-хозяйственные расходы: вознаграждение сотрудников по трудовым и гражданско-правовым договорам</t>
  </si>
  <si>
    <t>Организационно-хозяйственные расходы: страховые взносы, налоги</t>
  </si>
  <si>
    <t>Организационно-хозяйственные расходы: банковское обслуживание</t>
  </si>
  <si>
    <t>Организационно-хозяйственные расходы: прочие расходы</t>
  </si>
  <si>
    <t>Непредвиденные (дополнительные) расходы на содержание и обслуживание инфраструктуры и другого имущества общего пользования</t>
  </si>
  <si>
    <t>Чистка подъездных путей к участкам от снега, янв - март, ноя - дек</t>
  </si>
  <si>
    <t>Мелкий ремонт подъездных путей к участкам (внутри поселковых дорог)</t>
  </si>
  <si>
    <t>60 руб. х 20 раз</t>
  </si>
  <si>
    <t>Уборка площадки мусоросборной после зимы</t>
  </si>
  <si>
    <t>ЗП председателя правления</t>
  </si>
  <si>
    <t>Мобильная связь (тариф МегаФон — Корпоративный безлимит 600 минут в месяц )</t>
  </si>
  <si>
    <t>550 руб. х 12 мес.</t>
  </si>
  <si>
    <t>70 руб. х 250 писем</t>
  </si>
  <si>
    <t>Сайт (хостинг) последующие года (www.wix.com)</t>
  </si>
  <si>
    <t>Сайт (домен) (www.wix.com)</t>
  </si>
  <si>
    <t>Переадресация корреспонденции с юридического адреса товарищества на домашний адрес председатея правления</t>
  </si>
  <si>
    <t>236 руб. х 12 мес.</t>
  </si>
  <si>
    <t>15 000 руб. х 12 мес.</t>
  </si>
  <si>
    <t>1 462 руб. х 40 часов</t>
  </si>
  <si>
    <t>Итоговая сумма членского ежеквартального взноса: ______________ руб. (__________________________________________ 00 коп.) - с учетом округления</t>
  </si>
  <si>
    <t>Приходно-расходная смета на содержание и обслуживание инфраструктуры и другого имущества общего пользования ТСН "Удачный" в 2019 году</t>
  </si>
  <si>
    <t>___ "__________" 2018 г.</t>
  </si>
  <si>
    <t>(6 000 руб. х 2 раза) х 5 мес.</t>
  </si>
  <si>
    <t>(6 000 руб. х 3 раза) х 3 мес.</t>
  </si>
  <si>
    <t>2 632 руб. х 40 часов</t>
  </si>
  <si>
    <t>20 000 руб. х 12 мес.</t>
  </si>
  <si>
    <t>35 000 руб. х 30,2% х 12 мес.</t>
  </si>
  <si>
    <t>Расчетно-кассовое обслуживание счета в банке ВТБ</t>
  </si>
  <si>
    <t>Комиссии банка ВТБ</t>
  </si>
  <si>
    <t>Расчетно-кассовое обслуживание счета в банке Райффайзен</t>
  </si>
  <si>
    <t>Комиссии банка Райффайзен</t>
  </si>
  <si>
    <t>Карман для информационного листа для площадок мусоросборных 5 шт.</t>
  </si>
  <si>
    <t>Карман для информационного листа для здания администрации 1 шт.</t>
  </si>
  <si>
    <t>650 руб.</t>
  </si>
  <si>
    <t>6 138 руб.</t>
  </si>
  <si>
    <t>Организационно-хозяйственные расходы: таблички, указатели и карманы с названиями въездов, улиц, проездов и объектов инфраструктуры в поселке ТСН "Удачный" (http://www.domznak.ru)</t>
  </si>
  <si>
    <t>Вывоз мусора мар - май, сент - окт 2 раза в месяц: большой (8 м3) контейнер, 1 шт.</t>
  </si>
  <si>
    <t>Вывоз мусора июнь - авг, 3 раза в месяц: большой (8 м3) контейнер, 1 шт.</t>
  </si>
  <si>
    <t>Вывоз мусора янв - мар, окт - дек, 1 раз в 2 недели: маленькие (0,75 м3) контейнера, 2 шт.</t>
  </si>
  <si>
    <t>Вывоз мусора апр - сент, 1 раз в неделю: маленькие (0,75 м3) контейнера, 2 шт.</t>
  </si>
  <si>
    <t>(562,50 руб. х 2 шт.) х 11 раз</t>
  </si>
  <si>
    <t>(562,50 руб. х 2 шт.) х 26 раз</t>
  </si>
  <si>
    <t>папки, ручки шариковые, бумага, конверты почтовые, файлы-вкладыши, скобы для степлера, картриджи лазерные для принтера - по мере необходимости в течении года</t>
  </si>
  <si>
    <t>Канцелярские принадлежности</t>
  </si>
  <si>
    <t>Организационно-хозяйственные расходы: канцелярские принадлежности для ведения делопроизводства и бухгалтерии (Комус)</t>
  </si>
  <si>
    <t>25 руб х 20 раз</t>
  </si>
  <si>
    <t>990 руб. х 12 мес.</t>
  </si>
  <si>
    <t>6 900 руб. годовой тариф</t>
  </si>
  <si>
    <t>2 006 руб.</t>
  </si>
  <si>
    <t>Таблички с названием ТСН "Удачный" на въезды, 80х40 см + столбик, 2 шт.</t>
  </si>
  <si>
    <t>Схема-карта ТСН, 120х90 см + стойка, 2 шт.</t>
  </si>
  <si>
    <t>Таблички с названиями улиц, 80х20 см + столбик, 2 шт.</t>
  </si>
  <si>
    <t>1 702 руб.</t>
  </si>
  <si>
    <t>Указатели с названиями улиц и проездов, 80х21 см + столбик, 26 шт.</t>
  </si>
  <si>
    <t>1 716 руб.</t>
  </si>
  <si>
    <t>Табличка с адресом здания администрации, 90х30 см, 1 шт.</t>
  </si>
  <si>
    <t>2 071 руб.</t>
  </si>
  <si>
    <t>Табличка с названием ТСН "Удачный" на здание администрации, 40х20 см, 1 шт.</t>
  </si>
  <si>
    <t>1 007 руб.</t>
  </si>
  <si>
    <t>Таблички с наименованием "Для корреспонденции", 40х20 см, 2 шт.</t>
  </si>
  <si>
    <t>Почтовый ящик, металл, 20х35х7,5 см 2 шт.</t>
  </si>
  <si>
    <t>656 руб.</t>
  </si>
  <si>
    <t>Количество собственников на начало 2019 года</t>
  </si>
  <si>
    <t>Покос травы на участках ЗОП, май - авг, 3 раза</t>
  </si>
  <si>
    <t>180 руб. х 290,61 соток х 3 раза</t>
  </si>
  <si>
    <t>Протокол № 15 от ___ "___________" 2018 г.</t>
  </si>
  <si>
    <t>2 365 руб. х 106 чел. х 4 квартала</t>
  </si>
  <si>
    <t>2 365 руб. х 48 чел. х 4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</si>
</sst>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3" fontId="4" fillId="5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4" fontId="4" fillId="6" borderId="22" xfId="0" applyNumberFormat="1" applyFont="1" applyFill="1" applyBorder="1" applyAlignment="1">
      <alignment horizontal="center" vertical="center"/>
    </xf>
    <xf numFmtId="3" fontId="1" fillId="6" borderId="23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4" fontId="5" fillId="7" borderId="0" xfId="0" applyNumberFormat="1" applyFont="1" applyFill="1" applyAlignment="1">
      <alignment horizontal="center" vertical="center"/>
    </xf>
    <xf numFmtId="4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3" fillId="7" borderId="0" xfId="0" applyFont="1" applyFill="1" applyAlignment="1">
      <alignment horizontal="left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A10" zoomScale="88" zoomScaleNormal="88" workbookViewId="0">
      <selection activeCell="G19" sqref="G19"/>
    </sheetView>
  </sheetViews>
  <sheetFormatPr defaultColWidth="8.85546875" defaultRowHeight="15" x14ac:dyDescent="0.25"/>
  <cols>
    <col min="1" max="1" width="89.7109375" style="1" customWidth="1"/>
    <col min="2" max="2" width="34.28515625" style="1" customWidth="1"/>
    <col min="3" max="4" width="13.5703125" style="1" customWidth="1"/>
    <col min="5" max="16384" width="8.85546875" style="1"/>
  </cols>
  <sheetData>
    <row r="1" spans="1:4" ht="18.75" x14ac:dyDescent="0.25">
      <c r="A1" s="70" t="s">
        <v>0</v>
      </c>
      <c r="B1" s="70"/>
      <c r="C1" s="70"/>
      <c r="D1" s="70"/>
    </row>
    <row r="2" spans="1:4" ht="18.75" x14ac:dyDescent="0.3">
      <c r="A2" s="71" t="s">
        <v>1</v>
      </c>
      <c r="B2" s="71"/>
      <c r="C2" s="71"/>
      <c r="D2" s="71"/>
    </row>
    <row r="3" spans="1:4" ht="5.25" customHeight="1" x14ac:dyDescent="0.25">
      <c r="A3" s="52"/>
      <c r="B3" s="52"/>
      <c r="C3" s="52"/>
      <c r="D3" s="52"/>
    </row>
    <row r="4" spans="1:4" x14ac:dyDescent="0.25">
      <c r="A4" s="72" t="s">
        <v>52</v>
      </c>
      <c r="B4" s="72"/>
      <c r="C4" s="72"/>
      <c r="D4" s="72"/>
    </row>
    <row r="5" spans="1:4" x14ac:dyDescent="0.25">
      <c r="A5" s="72" t="s">
        <v>30</v>
      </c>
      <c r="B5" s="72"/>
      <c r="C5" s="72"/>
      <c r="D5" s="72"/>
    </row>
    <row r="6" spans="1:4" ht="5.25" customHeight="1" x14ac:dyDescent="0.25">
      <c r="A6" s="52"/>
      <c r="B6" s="52"/>
      <c r="C6" s="52"/>
      <c r="D6" s="52"/>
    </row>
    <row r="7" spans="1:4" ht="15.75" x14ac:dyDescent="0.25">
      <c r="A7" s="53" t="s">
        <v>2</v>
      </c>
      <c r="B7" s="54"/>
      <c r="C7" s="54"/>
      <c r="D7" s="54"/>
    </row>
    <row r="8" spans="1:4" ht="15.75" x14ac:dyDescent="0.25">
      <c r="A8" s="53" t="s">
        <v>3</v>
      </c>
      <c r="B8" s="54"/>
      <c r="C8" s="54"/>
      <c r="D8" s="54"/>
    </row>
    <row r="9" spans="1:4" ht="15.75" x14ac:dyDescent="0.25">
      <c r="A9" s="53" t="s">
        <v>53</v>
      </c>
      <c r="B9" s="54"/>
      <c r="C9" s="54"/>
      <c r="D9" s="54"/>
    </row>
    <row r="10" spans="1:4" ht="15.75" x14ac:dyDescent="0.25">
      <c r="A10" s="53" t="s">
        <v>97</v>
      </c>
      <c r="B10" s="54"/>
      <c r="C10" s="54"/>
      <c r="D10" s="54"/>
    </row>
    <row r="11" spans="1:4" ht="6" customHeight="1" thickBot="1" x14ac:dyDescent="0.3">
      <c r="A11" s="55"/>
      <c r="B11" s="55"/>
      <c r="C11" s="55"/>
      <c r="D11" s="55"/>
    </row>
    <row r="12" spans="1:4" s="2" customFormat="1" x14ac:dyDescent="0.25">
      <c r="A12" s="73" t="s">
        <v>4</v>
      </c>
      <c r="B12" s="75" t="s">
        <v>5</v>
      </c>
      <c r="C12" s="77" t="s">
        <v>6</v>
      </c>
      <c r="D12" s="78"/>
    </row>
    <row r="13" spans="1:4" s="2" customFormat="1" ht="30.75" thickBot="1" x14ac:dyDescent="0.3">
      <c r="A13" s="74"/>
      <c r="B13" s="76"/>
      <c r="C13" s="3" t="s">
        <v>7</v>
      </c>
      <c r="D13" s="4" t="s">
        <v>8</v>
      </c>
    </row>
    <row r="14" spans="1:4" x14ac:dyDescent="0.25">
      <c r="A14" s="64" t="s">
        <v>9</v>
      </c>
      <c r="B14" s="65"/>
      <c r="C14" s="65"/>
      <c r="D14" s="66"/>
    </row>
    <row r="15" spans="1:4" x14ac:dyDescent="0.25">
      <c r="A15" s="37" t="s">
        <v>10</v>
      </c>
      <c r="B15" s="5" t="s">
        <v>99</v>
      </c>
      <c r="C15" s="6">
        <f>2365*48*4</f>
        <v>454080</v>
      </c>
      <c r="D15" s="7"/>
    </row>
    <row r="16" spans="1:4" x14ac:dyDescent="0.25">
      <c r="A16" s="37" t="s">
        <v>25</v>
      </c>
      <c r="B16" s="5" t="s">
        <v>98</v>
      </c>
      <c r="C16" s="6">
        <f>2365*106*4</f>
        <v>1002760</v>
      </c>
      <c r="D16" s="7"/>
    </row>
    <row r="17" spans="1:4" ht="15.75" thickBot="1" x14ac:dyDescent="0.3">
      <c r="A17" s="33" t="s">
        <v>29</v>
      </c>
      <c r="B17" s="34"/>
      <c r="C17" s="35">
        <f>SUM(C15:C16)</f>
        <v>1456840</v>
      </c>
      <c r="D17" s="36"/>
    </row>
    <row r="18" spans="1:4" x14ac:dyDescent="0.25">
      <c r="A18" s="64" t="s">
        <v>11</v>
      </c>
      <c r="B18" s="65"/>
      <c r="C18" s="65"/>
      <c r="D18" s="66"/>
    </row>
    <row r="19" spans="1:4" x14ac:dyDescent="0.25">
      <c r="A19" s="61" t="s">
        <v>31</v>
      </c>
      <c r="B19" s="62"/>
      <c r="C19" s="62"/>
      <c r="D19" s="63"/>
    </row>
    <row r="20" spans="1:4" x14ac:dyDescent="0.25">
      <c r="A20" s="38" t="s">
        <v>70</v>
      </c>
      <c r="B20" s="8" t="s">
        <v>72</v>
      </c>
      <c r="C20" s="9">
        <f>562.5*2*11</f>
        <v>12375</v>
      </c>
      <c r="D20" s="7">
        <f t="shared" ref="D20:D27" si="0">C20/12/$C$64</f>
        <v>6.6964285714285712</v>
      </c>
    </row>
    <row r="21" spans="1:4" x14ac:dyDescent="0.25">
      <c r="A21" s="37" t="s">
        <v>71</v>
      </c>
      <c r="B21" s="5" t="s">
        <v>73</v>
      </c>
      <c r="C21" s="6">
        <f>562.5*2*26</f>
        <v>29250</v>
      </c>
      <c r="D21" s="7">
        <f t="shared" si="0"/>
        <v>15.827922077922079</v>
      </c>
    </row>
    <row r="22" spans="1:4" x14ac:dyDescent="0.25">
      <c r="A22" s="37" t="s">
        <v>68</v>
      </c>
      <c r="B22" s="5" t="s">
        <v>54</v>
      </c>
      <c r="C22" s="6">
        <f>6000*2*5</f>
        <v>60000</v>
      </c>
      <c r="D22" s="7">
        <f t="shared" si="0"/>
        <v>32.467532467532465</v>
      </c>
    </row>
    <row r="23" spans="1:4" x14ac:dyDescent="0.25">
      <c r="A23" s="37" t="s">
        <v>69</v>
      </c>
      <c r="B23" s="5" t="s">
        <v>55</v>
      </c>
      <c r="C23" s="6">
        <f>6000*3*3</f>
        <v>54000</v>
      </c>
      <c r="D23" s="7">
        <f t="shared" si="0"/>
        <v>29.220779220779221</v>
      </c>
    </row>
    <row r="24" spans="1:4" x14ac:dyDescent="0.25">
      <c r="A24" s="47" t="s">
        <v>40</v>
      </c>
      <c r="B24" s="10" t="s">
        <v>19</v>
      </c>
      <c r="C24" s="11">
        <v>5117</v>
      </c>
      <c r="D24" s="7">
        <f t="shared" si="0"/>
        <v>2.768939393939394</v>
      </c>
    </row>
    <row r="25" spans="1:4" x14ac:dyDescent="0.25">
      <c r="A25" s="39" t="s">
        <v>38</v>
      </c>
      <c r="B25" s="10" t="s">
        <v>50</v>
      </c>
      <c r="C25" s="11">
        <f>1462*40</f>
        <v>58480</v>
      </c>
      <c r="D25" s="7">
        <f t="shared" si="0"/>
        <v>31.645021645021643</v>
      </c>
    </row>
    <row r="26" spans="1:4" x14ac:dyDescent="0.25">
      <c r="A26" s="40" t="s">
        <v>37</v>
      </c>
      <c r="B26" s="10" t="s">
        <v>56</v>
      </c>
      <c r="C26" s="11">
        <f>2632*40</f>
        <v>105280</v>
      </c>
      <c r="D26" s="7">
        <f t="shared" si="0"/>
        <v>56.969696969696976</v>
      </c>
    </row>
    <row r="27" spans="1:4" x14ac:dyDescent="0.25">
      <c r="A27" s="40" t="s">
        <v>95</v>
      </c>
      <c r="B27" s="10" t="s">
        <v>96</v>
      </c>
      <c r="C27" s="11">
        <f>ROUND((180*290.61*3),0)</f>
        <v>156929</v>
      </c>
      <c r="D27" s="7">
        <f t="shared" si="0"/>
        <v>84.918290043290042</v>
      </c>
    </row>
    <row r="28" spans="1:4" x14ac:dyDescent="0.25">
      <c r="A28" s="61" t="s">
        <v>76</v>
      </c>
      <c r="B28" s="62"/>
      <c r="C28" s="62"/>
      <c r="D28" s="63"/>
    </row>
    <row r="29" spans="1:4" ht="85.9" customHeight="1" x14ac:dyDescent="0.25">
      <c r="A29" s="37" t="s">
        <v>75</v>
      </c>
      <c r="B29" s="50" t="s">
        <v>74</v>
      </c>
      <c r="C29" s="6">
        <v>10000</v>
      </c>
      <c r="D29" s="46">
        <f>C29/12/$C$64</f>
        <v>5.4112554112554117</v>
      </c>
    </row>
    <row r="30" spans="1:4" ht="27.6" customHeight="1" x14ac:dyDescent="0.25">
      <c r="A30" s="67" t="s">
        <v>67</v>
      </c>
      <c r="B30" s="68"/>
      <c r="C30" s="68"/>
      <c r="D30" s="69"/>
    </row>
    <row r="31" spans="1:4" x14ac:dyDescent="0.25">
      <c r="A31" s="37" t="s">
        <v>81</v>
      </c>
      <c r="B31" s="5" t="s">
        <v>80</v>
      </c>
      <c r="C31" s="6">
        <f>2006*2</f>
        <v>4012</v>
      </c>
      <c r="D31" s="46">
        <f t="shared" ref="D31:D40" si="1">C31/12/$C$64</f>
        <v>2.170995670995671</v>
      </c>
    </row>
    <row r="32" spans="1:4" x14ac:dyDescent="0.25">
      <c r="A32" s="37" t="s">
        <v>89</v>
      </c>
      <c r="B32" s="5" t="s">
        <v>90</v>
      </c>
      <c r="C32" s="6">
        <f>1007*1</f>
        <v>1007</v>
      </c>
      <c r="D32" s="46">
        <f t="shared" si="1"/>
        <v>0.54491341991341991</v>
      </c>
    </row>
    <row r="33" spans="1:4" x14ac:dyDescent="0.25">
      <c r="A33" s="37" t="s">
        <v>87</v>
      </c>
      <c r="B33" s="5" t="s">
        <v>88</v>
      </c>
      <c r="C33" s="6">
        <f>2071*1</f>
        <v>2071</v>
      </c>
      <c r="D33" s="46">
        <f t="shared" si="1"/>
        <v>1.1206709956709957</v>
      </c>
    </row>
    <row r="34" spans="1:4" x14ac:dyDescent="0.25">
      <c r="A34" s="37" t="s">
        <v>91</v>
      </c>
      <c r="B34" s="5" t="s">
        <v>90</v>
      </c>
      <c r="C34" s="6">
        <f>1007*2</f>
        <v>2014</v>
      </c>
      <c r="D34" s="46">
        <f t="shared" si="1"/>
        <v>1.0898268398268398</v>
      </c>
    </row>
    <row r="35" spans="1:4" x14ac:dyDescent="0.25">
      <c r="A35" s="37" t="s">
        <v>83</v>
      </c>
      <c r="B35" s="5" t="s">
        <v>84</v>
      </c>
      <c r="C35" s="6">
        <f>1702*2</f>
        <v>3404</v>
      </c>
      <c r="D35" s="46">
        <f t="shared" si="1"/>
        <v>1.8419913419913421</v>
      </c>
    </row>
    <row r="36" spans="1:4" x14ac:dyDescent="0.25">
      <c r="A36" s="37" t="s">
        <v>85</v>
      </c>
      <c r="B36" s="5" t="s">
        <v>86</v>
      </c>
      <c r="C36" s="6">
        <f>1716*26</f>
        <v>44616</v>
      </c>
      <c r="D36" s="46">
        <f t="shared" si="1"/>
        <v>24.142857142857142</v>
      </c>
    </row>
    <row r="37" spans="1:4" x14ac:dyDescent="0.25">
      <c r="A37" s="48" t="s">
        <v>82</v>
      </c>
      <c r="B37" s="5" t="s">
        <v>66</v>
      </c>
      <c r="C37" s="6">
        <f>6138*2</f>
        <v>12276</v>
      </c>
      <c r="D37" s="46">
        <f t="shared" si="1"/>
        <v>6.6428571428571432</v>
      </c>
    </row>
    <row r="38" spans="1:4" x14ac:dyDescent="0.25">
      <c r="A38" s="48" t="s">
        <v>63</v>
      </c>
      <c r="B38" s="5" t="s">
        <v>93</v>
      </c>
      <c r="C38" s="6">
        <f>656*5</f>
        <v>3280</v>
      </c>
      <c r="D38" s="46">
        <f t="shared" si="1"/>
        <v>1.7748917748917747</v>
      </c>
    </row>
    <row r="39" spans="1:4" x14ac:dyDescent="0.25">
      <c r="A39" s="48" t="s">
        <v>64</v>
      </c>
      <c r="B39" s="5" t="s">
        <v>93</v>
      </c>
      <c r="C39" s="6">
        <f>656*1</f>
        <v>656</v>
      </c>
      <c r="D39" s="46">
        <f t="shared" si="1"/>
        <v>0.35497835497835495</v>
      </c>
    </row>
    <row r="40" spans="1:4" x14ac:dyDescent="0.25">
      <c r="A40" s="51" t="s">
        <v>92</v>
      </c>
      <c r="B40" s="5" t="s">
        <v>65</v>
      </c>
      <c r="C40" s="6">
        <f>650*2</f>
        <v>1300</v>
      </c>
      <c r="D40" s="46">
        <f t="shared" si="1"/>
        <v>0.70346320346320346</v>
      </c>
    </row>
    <row r="41" spans="1:4" x14ac:dyDescent="0.25">
      <c r="A41" s="61" t="s">
        <v>32</v>
      </c>
      <c r="B41" s="62"/>
      <c r="C41" s="62"/>
      <c r="D41" s="63"/>
    </row>
    <row r="42" spans="1:4" x14ac:dyDescent="0.25">
      <c r="A42" s="37" t="s">
        <v>41</v>
      </c>
      <c r="B42" s="5" t="s">
        <v>57</v>
      </c>
      <c r="C42" s="6">
        <f>20000*12</f>
        <v>240000</v>
      </c>
      <c r="D42" s="7">
        <f>C42/12/$C$64</f>
        <v>129.87012987012986</v>
      </c>
    </row>
    <row r="43" spans="1:4" x14ac:dyDescent="0.25">
      <c r="A43" s="37" t="s">
        <v>14</v>
      </c>
      <c r="B43" s="5" t="s">
        <v>49</v>
      </c>
      <c r="C43" s="6">
        <f>15000*12</f>
        <v>180000</v>
      </c>
      <c r="D43" s="7">
        <f>C43/12/$C$64</f>
        <v>97.402597402597408</v>
      </c>
    </row>
    <row r="44" spans="1:4" x14ac:dyDescent="0.25">
      <c r="A44" s="61" t="s">
        <v>33</v>
      </c>
      <c r="B44" s="62"/>
      <c r="C44" s="62"/>
      <c r="D44" s="63"/>
    </row>
    <row r="45" spans="1:4" x14ac:dyDescent="0.25">
      <c r="A45" s="37" t="s">
        <v>15</v>
      </c>
      <c r="B45" s="12" t="s">
        <v>58</v>
      </c>
      <c r="C45" s="6">
        <f>35000*0.302*12</f>
        <v>126840</v>
      </c>
      <c r="D45" s="7">
        <f>C45/12/$C$64</f>
        <v>68.63636363636364</v>
      </c>
    </row>
    <row r="46" spans="1:4" ht="45" x14ac:dyDescent="0.25">
      <c r="A46" s="41" t="s">
        <v>16</v>
      </c>
      <c r="B46" s="13" t="s">
        <v>17</v>
      </c>
      <c r="C46" s="14">
        <f>ROUND((234816.06+49035.96+45255.15+2502017.85)*0.003,0)</f>
        <v>8493</v>
      </c>
      <c r="D46" s="7">
        <f>C46/12/$C$64</f>
        <v>4.595779220779221</v>
      </c>
    </row>
    <row r="47" spans="1:4" x14ac:dyDescent="0.25">
      <c r="A47" s="61" t="s">
        <v>34</v>
      </c>
      <c r="B47" s="62"/>
      <c r="C47" s="62"/>
      <c r="D47" s="63"/>
    </row>
    <row r="48" spans="1:4" x14ac:dyDescent="0.25">
      <c r="A48" s="37" t="s">
        <v>59</v>
      </c>
      <c r="B48" s="5" t="s">
        <v>12</v>
      </c>
      <c r="C48" s="6">
        <f>1200*12</f>
        <v>14400</v>
      </c>
      <c r="D48" s="7">
        <f>C48/12/$C$64</f>
        <v>7.7922077922077921</v>
      </c>
    </row>
    <row r="49" spans="1:4" x14ac:dyDescent="0.25">
      <c r="A49" s="37" t="s">
        <v>60</v>
      </c>
      <c r="B49" s="5" t="s">
        <v>39</v>
      </c>
      <c r="C49" s="6">
        <f>60*20</f>
        <v>1200</v>
      </c>
      <c r="D49" s="7">
        <f>C49/12/$C$64</f>
        <v>0.64935064935064934</v>
      </c>
    </row>
    <row r="50" spans="1:4" x14ac:dyDescent="0.25">
      <c r="A50" s="37" t="s">
        <v>61</v>
      </c>
      <c r="B50" s="49" t="s">
        <v>78</v>
      </c>
      <c r="C50" s="6">
        <f>990*12</f>
        <v>11880</v>
      </c>
      <c r="D50" s="7">
        <f t="shared" ref="D50:D51" si="2">C50/12/$C$64</f>
        <v>6.4285714285714288</v>
      </c>
    </row>
    <row r="51" spans="1:4" x14ac:dyDescent="0.25">
      <c r="A51" s="37" t="s">
        <v>62</v>
      </c>
      <c r="B51" s="49" t="s">
        <v>77</v>
      </c>
      <c r="C51" s="6">
        <f>25*20</f>
        <v>500</v>
      </c>
      <c r="D51" s="7">
        <f t="shared" si="2"/>
        <v>0.27056277056277056</v>
      </c>
    </row>
    <row r="52" spans="1:4" x14ac:dyDescent="0.25">
      <c r="A52" s="61" t="s">
        <v>35</v>
      </c>
      <c r="B52" s="62"/>
      <c r="C52" s="62"/>
      <c r="D52" s="63"/>
    </row>
    <row r="53" spans="1:4" x14ac:dyDescent="0.25">
      <c r="A53" s="37" t="s">
        <v>18</v>
      </c>
      <c r="B53" s="5" t="s">
        <v>19</v>
      </c>
      <c r="C53" s="6">
        <v>25000</v>
      </c>
      <c r="D53" s="7">
        <f>C53/12/$C$64</f>
        <v>13.528138528138529</v>
      </c>
    </row>
    <row r="54" spans="1:4" x14ac:dyDescent="0.25">
      <c r="A54" s="43" t="s">
        <v>42</v>
      </c>
      <c r="B54" s="5" t="s">
        <v>43</v>
      </c>
      <c r="C54" s="6">
        <f>550*12</f>
        <v>6600</v>
      </c>
      <c r="D54" s="7">
        <f t="shared" ref="D54:D59" si="3">C54/12/$C$64</f>
        <v>3.5714285714285716</v>
      </c>
    </row>
    <row r="55" spans="1:4" x14ac:dyDescent="0.25">
      <c r="A55" s="40" t="s">
        <v>13</v>
      </c>
      <c r="B55" s="10" t="s">
        <v>44</v>
      </c>
      <c r="C55" s="11">
        <f>70*250</f>
        <v>17500</v>
      </c>
      <c r="D55" s="7">
        <f t="shared" si="3"/>
        <v>9.4696969696969688</v>
      </c>
    </row>
    <row r="56" spans="1:4" ht="30" x14ac:dyDescent="0.25">
      <c r="A56" s="39" t="s">
        <v>47</v>
      </c>
      <c r="B56" s="10" t="s">
        <v>48</v>
      </c>
      <c r="C56" s="11">
        <f>236*12</f>
        <v>2832</v>
      </c>
      <c r="D56" s="7">
        <f t="shared" si="3"/>
        <v>1.5324675324675325</v>
      </c>
    </row>
    <row r="57" spans="1:4" x14ac:dyDescent="0.25">
      <c r="A57" s="37" t="s">
        <v>45</v>
      </c>
      <c r="B57" s="5" t="s">
        <v>19</v>
      </c>
      <c r="C57" s="6">
        <v>4500</v>
      </c>
      <c r="D57" s="7">
        <f t="shared" si="3"/>
        <v>2.4350649350649349</v>
      </c>
    </row>
    <row r="58" spans="1:4" x14ac:dyDescent="0.25">
      <c r="A58" s="37" t="s">
        <v>46</v>
      </c>
      <c r="B58" s="5" t="s">
        <v>19</v>
      </c>
      <c r="C58" s="6">
        <f>ROUND(1322.78,0)</f>
        <v>1323</v>
      </c>
      <c r="D58" s="7">
        <f t="shared" si="3"/>
        <v>0.71590909090909094</v>
      </c>
    </row>
    <row r="59" spans="1:4" ht="30" x14ac:dyDescent="0.25">
      <c r="A59" s="42" t="s">
        <v>20</v>
      </c>
      <c r="B59" s="15" t="s">
        <v>79</v>
      </c>
      <c r="C59" s="14">
        <v>6900</v>
      </c>
      <c r="D59" s="7">
        <f t="shared" si="3"/>
        <v>3.7337662337662336</v>
      </c>
    </row>
    <row r="60" spans="1:4" x14ac:dyDescent="0.25">
      <c r="A60" s="25" t="s">
        <v>28</v>
      </c>
      <c r="B60" s="26"/>
      <c r="C60" s="27">
        <f>SUM(C20:C59)</f>
        <v>1214035</v>
      </c>
      <c r="D60" s="28"/>
    </row>
    <row r="61" spans="1:4" ht="30" x14ac:dyDescent="0.25">
      <c r="A61" s="44" t="s">
        <v>36</v>
      </c>
      <c r="B61" s="17">
        <v>0.2</v>
      </c>
      <c r="C61" s="6">
        <f>ROUND((C60*0.2),0)</f>
        <v>242807</v>
      </c>
      <c r="D61" s="7">
        <f>C61/12/$C$64</f>
        <v>131.38906926406926</v>
      </c>
    </row>
    <row r="62" spans="1:4" x14ac:dyDescent="0.25">
      <c r="A62" s="25" t="s">
        <v>27</v>
      </c>
      <c r="B62" s="26"/>
      <c r="C62" s="27">
        <f>SUM(C60:C61)</f>
        <v>1456842</v>
      </c>
      <c r="D62" s="28"/>
    </row>
    <row r="63" spans="1:4" x14ac:dyDescent="0.25">
      <c r="A63" s="29" t="s">
        <v>26</v>
      </c>
      <c r="B63" s="30"/>
      <c r="C63" s="31">
        <f>ROUND((C62/4),0)</f>
        <v>364211</v>
      </c>
      <c r="D63" s="32"/>
    </row>
    <row r="64" spans="1:4" x14ac:dyDescent="0.25">
      <c r="A64" s="45" t="s">
        <v>94</v>
      </c>
      <c r="B64" s="16"/>
      <c r="C64" s="18">
        <v>154</v>
      </c>
      <c r="D64" s="19"/>
    </row>
    <row r="65" spans="1:4" ht="15.75" thickBot="1" x14ac:dyDescent="0.3">
      <c r="A65" s="20" t="s">
        <v>21</v>
      </c>
      <c r="B65" s="21"/>
      <c r="C65" s="22">
        <f>ROUND((C63/C64),0)</f>
        <v>2365</v>
      </c>
      <c r="D65" s="23">
        <f>C65/3</f>
        <v>788.33333333333337</v>
      </c>
    </row>
    <row r="66" spans="1:4" x14ac:dyDescent="0.25">
      <c r="A66" s="56"/>
      <c r="B66" s="56"/>
      <c r="C66" s="57"/>
      <c r="D66" s="58"/>
    </row>
    <row r="67" spans="1:4" x14ac:dyDescent="0.25">
      <c r="A67" s="59" t="s">
        <v>51</v>
      </c>
      <c r="B67" s="56"/>
      <c r="C67" s="58"/>
      <c r="D67" s="58"/>
    </row>
    <row r="68" spans="1:4" x14ac:dyDescent="0.25">
      <c r="A68" s="56"/>
      <c r="B68" s="56"/>
      <c r="C68" s="58"/>
      <c r="D68" s="58"/>
    </row>
    <row r="69" spans="1:4" x14ac:dyDescent="0.25">
      <c r="A69" s="59" t="s">
        <v>22</v>
      </c>
      <c r="B69" s="56"/>
      <c r="C69" s="56"/>
      <c r="D69" s="56"/>
    </row>
    <row r="70" spans="1:4" x14ac:dyDescent="0.25">
      <c r="A70" s="59"/>
      <c r="B70" s="56"/>
      <c r="C70" s="56"/>
      <c r="D70" s="56"/>
    </row>
    <row r="71" spans="1:4" x14ac:dyDescent="0.25">
      <c r="A71" s="59" t="s">
        <v>23</v>
      </c>
      <c r="B71" s="56"/>
      <c r="C71" s="56"/>
      <c r="D71" s="56"/>
    </row>
    <row r="72" spans="1:4" x14ac:dyDescent="0.25">
      <c r="A72" s="56"/>
      <c r="B72" s="56"/>
      <c r="C72" s="56"/>
      <c r="D72" s="56"/>
    </row>
    <row r="73" spans="1:4" x14ac:dyDescent="0.25">
      <c r="A73" s="59" t="s">
        <v>24</v>
      </c>
      <c r="B73" s="56"/>
      <c r="C73" s="56"/>
      <c r="D73" s="56"/>
    </row>
    <row r="74" spans="1:4" x14ac:dyDescent="0.25">
      <c r="A74" s="56"/>
      <c r="B74" s="56"/>
      <c r="C74" s="56"/>
      <c r="D74" s="56"/>
    </row>
    <row r="75" spans="1:4" ht="15.75" x14ac:dyDescent="0.25">
      <c r="A75" s="60" t="s">
        <v>53</v>
      </c>
      <c r="B75" s="56"/>
      <c r="C75" s="56"/>
      <c r="D75" s="56"/>
    </row>
    <row r="76" spans="1:4" x14ac:dyDescent="0.25">
      <c r="A76" s="56"/>
      <c r="B76" s="56"/>
      <c r="C76" s="56"/>
      <c r="D76" s="56"/>
    </row>
    <row r="77" spans="1:4" x14ac:dyDescent="0.25">
      <c r="A77" s="24"/>
    </row>
  </sheetData>
  <mergeCells count="16">
    <mergeCell ref="A1:D1"/>
    <mergeCell ref="A2:D2"/>
    <mergeCell ref="A4:D4"/>
    <mergeCell ref="A12:A13"/>
    <mergeCell ref="B12:B13"/>
    <mergeCell ref="C12:D12"/>
    <mergeCell ref="A5:D5"/>
    <mergeCell ref="A44:D44"/>
    <mergeCell ref="A47:D47"/>
    <mergeCell ref="A52:D52"/>
    <mergeCell ref="A14:D14"/>
    <mergeCell ref="A18:D18"/>
    <mergeCell ref="A19:D19"/>
    <mergeCell ref="A28:D28"/>
    <mergeCell ref="A41:D41"/>
    <mergeCell ref="A30:D30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Ежекварт 2018 Проект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Arhiv</dc:creator>
  <cp:lastModifiedBy>Arhiv</cp:lastModifiedBy>
  <cp:lastPrinted>2017-10-19T08:07:58Z</cp:lastPrinted>
  <dcterms:created xsi:type="dcterms:W3CDTF">2016-10-26T08:42:00Z</dcterms:created>
  <dcterms:modified xsi:type="dcterms:W3CDTF">2018-12-12T07:55:32Z</dcterms:modified>
</cp:coreProperties>
</file>