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ДАЧНЫЙ\!ПРОТОКОЛЫ СОБРАНИЙ\18. Собрание 12.09.20\"/>
    </mc:Choice>
  </mc:AlternateContent>
  <xr:revisionPtr revIDLastSave="0" documentId="8_{FB5CFFB0-BAB0-41B4-BBF1-2C02AF1130C8}" xr6:coauthVersionLast="45" xr6:coauthVersionMax="45" xr10:uidLastSave="{00000000-0000-0000-0000-000000000000}"/>
  <bookViews>
    <workbookView xWindow="390" yWindow="1335" windowWidth="28410" windowHeight="14865" xr2:uid="{00000000-000D-0000-FFFF-FFFF00000000}"/>
  </bookViews>
  <sheets>
    <sheet name="Ежекварт 2021 Проект" sheetId="1" r:id="rId1"/>
  </sheets>
  <calcPr calcId="181029"/>
</workbook>
</file>

<file path=xl/calcChain.xml><?xml version="1.0" encoding="utf-8"?>
<calcChain xmlns="http://schemas.openxmlformats.org/spreadsheetml/2006/main">
  <c r="C16" i="1" l="1"/>
  <c r="C15" i="1"/>
  <c r="C31" i="1" l="1"/>
  <c r="C34" i="1"/>
  <c r="C32" i="1"/>
  <c r="C21" i="1" l="1"/>
  <c r="C24" i="1"/>
  <c r="C30" i="1" l="1"/>
  <c r="C26" i="1"/>
  <c r="C23" i="1"/>
  <c r="C22" i="1"/>
  <c r="C20" i="1"/>
  <c r="C43" i="1"/>
  <c r="C25" i="1"/>
  <c r="D25" i="1" s="1"/>
  <c r="D32" i="1" l="1"/>
  <c r="A64" i="1" l="1"/>
  <c r="C38" i="1" l="1"/>
  <c r="D22" i="1"/>
  <c r="C35" i="1" l="1"/>
  <c r="D38" i="1" l="1"/>
  <c r="C37" i="1"/>
  <c r="D37" i="1" s="1"/>
  <c r="D28" i="1"/>
  <c r="D30" i="1" l="1"/>
  <c r="D42" i="1" l="1"/>
  <c r="D44" i="1"/>
  <c r="D41" i="1"/>
  <c r="D43" i="1" l="1"/>
  <c r="C40" i="1"/>
  <c r="D40" i="1" l="1"/>
  <c r="C45" i="1"/>
  <c r="C46" i="1" s="1"/>
  <c r="D23" i="1"/>
  <c r="D34" i="1" l="1"/>
  <c r="D31" i="1"/>
  <c r="D26" i="1"/>
  <c r="D24" i="1"/>
  <c r="D21" i="1"/>
  <c r="C17" i="1"/>
  <c r="D35" i="1" l="1"/>
  <c r="D20" i="1"/>
  <c r="C47" i="1" l="1"/>
  <c r="C49" i="1" s="1"/>
  <c r="C50" i="1" s="1"/>
</calcChain>
</file>

<file path=xl/sharedStrings.xml><?xml version="1.0" encoding="utf-8"?>
<sst xmlns="http://schemas.openxmlformats.org/spreadsheetml/2006/main" count="77" uniqueCount="76">
  <si>
    <t>ТОВАРИЩЕСТВО СОБСТВЕННИКОВ НЕДВИЖИМОСТИ</t>
  </si>
  <si>
    <t xml:space="preserve"> ЗЕМЕЛЬНЫХ УЧАСТКОВ "УДАЧНЫЙ"</t>
  </si>
  <si>
    <t>Утверждена Общим Собранием</t>
  </si>
  <si>
    <t>членов ТСН "Удачный"</t>
  </si>
  <si>
    <t>Наименование статьи расходов</t>
  </si>
  <si>
    <t>Расчет</t>
  </si>
  <si>
    <t>Сумма, руб.</t>
  </si>
  <si>
    <t>В год</t>
  </si>
  <si>
    <t>В месяц с собственника</t>
  </si>
  <si>
    <t>ПРИХОДНАЯ ЧАСТЬ</t>
  </si>
  <si>
    <t>Ежеквартальные взносы членов ТСН (членские взносы)</t>
  </si>
  <si>
    <t>РАСХОДНАЯ ЧАСТЬ</t>
  </si>
  <si>
    <t>Почтовые расходы</t>
  </si>
  <si>
    <t>ЗП бухгалтера</t>
  </si>
  <si>
    <t>Страховые взносы с ФОТ</t>
  </si>
  <si>
    <t>Налог на землю (ЗОП)</t>
  </si>
  <si>
    <t>один раз в год</t>
  </si>
  <si>
    <t>Сдача бухгалтерской отчетности через интернет (Астрал-отчет, тариф Оптимальный, МО, УСНО)</t>
  </si>
  <si>
    <t>Итого, в квартал, с собственника</t>
  </si>
  <si>
    <t>___________________/Новоселова Н.Г./</t>
  </si>
  <si>
    <t>М.П.</t>
  </si>
  <si>
    <t>Всего, в год:</t>
  </si>
  <si>
    <t>Итого, в год:</t>
  </si>
  <si>
    <t>Итого:</t>
  </si>
  <si>
    <t xml:space="preserve"> (членский, ежеквартальный взнос)</t>
  </si>
  <si>
    <t>Содержание и обслуживание имущества общего пользования</t>
  </si>
  <si>
    <t>Организационно-хозяйственные расходы: вознаграждение сотрудников по трудовым и гражданско-правовым договорам</t>
  </si>
  <si>
    <t>Организационно-хозяйственные расходы: страховые взносы, налоги</t>
  </si>
  <si>
    <t>Организационно-хозяйственные расходы: банковское обслуживание</t>
  </si>
  <si>
    <t>Организационно-хозяйственные расходы: прочие расходы</t>
  </si>
  <si>
    <t>Непредвиденные (дополнительные) расходы на содержание и обслуживание инфраструктуры и другого имущества общего пользования</t>
  </si>
  <si>
    <t>Чистка подъездных путей к участкам от снега, янв - март, ноя - дек</t>
  </si>
  <si>
    <t>550 руб. х 12 мес.</t>
  </si>
  <si>
    <t>Сайт (домен) (www.wix.com)</t>
  </si>
  <si>
    <t>2 632 руб. х 40 часов</t>
  </si>
  <si>
    <t>Расчетно-кассовое обслуживание счета в банке Райффайзен</t>
  </si>
  <si>
    <t>Комиссии банка Райффайзен</t>
  </si>
  <si>
    <t>Канцелярские принадлежности</t>
  </si>
  <si>
    <t>Организационно-хозяйственные расходы: канцелярские принадлежности для ведения делопроизводства и бухгалтерии (Комус)</t>
  </si>
  <si>
    <t>990 руб. х 12 мес.</t>
  </si>
  <si>
    <t>6 900 руб. годовой тариф</t>
  </si>
  <si>
    <t>Покос травы на участках ЗОП, май - авг, 3 раза</t>
  </si>
  <si>
    <t>866,10 руб. х (0,76 м3 х 154 чел.)</t>
  </si>
  <si>
    <t>Вывоз мусора, маленькие (0,75 м3) контейнеры, 2 шт.: круглогодично, один раз в неделю</t>
  </si>
  <si>
    <t>(625 537,80 + 672 584,88 + 576 329,28 + 14 145 998,80) руб. х 0,3%</t>
  </si>
  <si>
    <t>Электроэнергия (день 6,39 руб./кВт*ч; ночь 2,41 руб./ кВт*ч)</t>
  </si>
  <si>
    <t>25 руб х 50 раз</t>
  </si>
  <si>
    <t>ЗП председателя Товарищества</t>
  </si>
  <si>
    <t>Председатель ТСН "Удачный"</t>
  </si>
  <si>
    <t>Ежеквартальная плата не членов ТСН</t>
  </si>
  <si>
    <t>Мелкий ремонт подъездных путей к участкам (внутри поселковых дорог) и канав водоотведения</t>
  </si>
  <si>
    <t>папки, ручки шариковые, бумага, конверты почтовые, файлы-вкладыши, скобы для степлера, картриджи лазерные для принтера - по мере необходимости в течение года</t>
  </si>
  <si>
    <t>Сайт (хостинг) последующие годы (www.wix.com)</t>
  </si>
  <si>
    <t>Количество собственников на начало 2020 года</t>
  </si>
  <si>
    <t>Итого, в год, с собственника</t>
  </si>
  <si>
    <t>Собственники участков, расположенных в границах территории Товарищества, ведущие садоводство без участия в Товариществе, то есть, не являющиеся членами товарищества, оплачивающие услуги по обращению с ТКО не через Товарищество, а напрямую Региональному Оператору, вправе при оплате взноса уменьшить его сумму на 658 руб. в год, то есть на 165 руб. в квартал</t>
  </si>
  <si>
    <t>ЗП администратора сайта</t>
  </si>
  <si>
    <t>35 000 руб. х 12 мес.</t>
  </si>
  <si>
    <t>12 "сентября" 2020 г.</t>
  </si>
  <si>
    <t>Протокол № 18 от 12 "сентября" 2020 г.</t>
  </si>
  <si>
    <t>7000 руб. х 25 раз</t>
  </si>
  <si>
    <t>200 кВт*ч х 6,39 руб. + 20 кВт*ч х 2,41 руб.</t>
  </si>
  <si>
    <t>3 226 руб. х 10 смен</t>
  </si>
  <si>
    <t>Подсыпка подъездных путей к участкам песком в гололед</t>
  </si>
  <si>
    <t>11 600 руб. х 3 раза</t>
  </si>
  <si>
    <t>65 000 руб. х 3 раза</t>
  </si>
  <si>
    <t>отправка корреспонденции жителям и контрагентам Товарищества</t>
  </si>
  <si>
    <t>Приходно-расходная смета на содержание и обслуживание инфраструктуры и другого имущества общего пользования ТСН "Удачный" в 2021 году</t>
  </si>
  <si>
    <t>23 000 руб. х 12 мес.</t>
  </si>
  <si>
    <t>3 500 руб. х 12 мес.</t>
  </si>
  <si>
    <t>61 500 руб. х 30,2% х 12 мес.</t>
  </si>
  <si>
    <t>Итоговая сумма членского ежеквартального взноса: 2 855,00 руб. (две тысячи восемьсот пятьдесят пять рублей 00 коп.) - с учетом округления</t>
  </si>
  <si>
    <t>Вывоз мусора, большой (8 м3) контейнер, 1 шт.: круглогодично, по заполняемости, 25 вывозов</t>
  </si>
  <si>
    <t>Мобильная связь: (тариф №1 МегаФон — Корпоративный безлимит 600 минут в месяц ); тариф №2 Мегафон - Умные вещи)</t>
  </si>
  <si>
    <t>2 855 руб. х 44 чел. х 4 квартала</t>
  </si>
  <si>
    <t>2 855 руб. х 109 чел. х 4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</si>
</sst>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3" fontId="4" fillId="5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4" fontId="4" fillId="6" borderId="22" xfId="0" applyNumberFormat="1" applyFont="1" applyFill="1" applyBorder="1" applyAlignment="1">
      <alignment horizontal="center" vertical="center"/>
    </xf>
    <xf numFmtId="3" fontId="1" fillId="6" borderId="23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10" zoomScale="84" zoomScaleNormal="84" workbookViewId="0">
      <selection activeCell="C16" sqref="C16"/>
    </sheetView>
  </sheetViews>
  <sheetFormatPr defaultColWidth="8.85546875" defaultRowHeight="15" x14ac:dyDescent="0.25"/>
  <cols>
    <col min="1" max="1" width="89.7109375" style="1" customWidth="1"/>
    <col min="2" max="2" width="43" style="1" customWidth="1"/>
    <col min="3" max="4" width="13.5703125" style="1" customWidth="1"/>
    <col min="5" max="16384" width="8.85546875" style="1"/>
  </cols>
  <sheetData>
    <row r="1" spans="1:4" ht="18.75" x14ac:dyDescent="0.25">
      <c r="A1" s="65" t="s">
        <v>0</v>
      </c>
      <c r="B1" s="65"/>
      <c r="C1" s="65"/>
      <c r="D1" s="65"/>
    </row>
    <row r="2" spans="1:4" ht="18.75" x14ac:dyDescent="0.3">
      <c r="A2" s="66" t="s">
        <v>1</v>
      </c>
      <c r="B2" s="66"/>
      <c r="C2" s="66"/>
      <c r="D2" s="66"/>
    </row>
    <row r="4" spans="1:4" x14ac:dyDescent="0.25">
      <c r="A4" s="67" t="s">
        <v>67</v>
      </c>
      <c r="B4" s="67"/>
      <c r="C4" s="67"/>
      <c r="D4" s="67"/>
    </row>
    <row r="5" spans="1:4" x14ac:dyDescent="0.25">
      <c r="A5" s="67" t="s">
        <v>24</v>
      </c>
      <c r="B5" s="67"/>
      <c r="C5" s="67"/>
      <c r="D5" s="67"/>
    </row>
    <row r="7" spans="1:4" ht="15.75" x14ac:dyDescent="0.25">
      <c r="A7" s="2" t="s">
        <v>2</v>
      </c>
      <c r="B7" s="3"/>
      <c r="C7" s="3"/>
      <c r="D7" s="3"/>
    </row>
    <row r="8" spans="1:4" ht="15.75" x14ac:dyDescent="0.25">
      <c r="A8" s="2" t="s">
        <v>3</v>
      </c>
      <c r="B8" s="3"/>
      <c r="C8" s="3"/>
      <c r="D8" s="3"/>
    </row>
    <row r="9" spans="1:4" ht="15.75" x14ac:dyDescent="0.25">
      <c r="A9" s="2" t="s">
        <v>58</v>
      </c>
      <c r="B9" s="3"/>
      <c r="C9" s="3"/>
      <c r="D9" s="3"/>
    </row>
    <row r="10" spans="1:4" ht="15.75" x14ac:dyDescent="0.25">
      <c r="A10" s="4" t="s">
        <v>59</v>
      </c>
      <c r="B10" s="3"/>
      <c r="C10" s="3"/>
      <c r="D10" s="3"/>
    </row>
    <row r="11" spans="1:4" ht="15.75" thickBot="1" x14ac:dyDescent="0.3">
      <c r="A11" s="3"/>
      <c r="B11" s="3"/>
      <c r="C11" s="3"/>
      <c r="D11" s="3"/>
    </row>
    <row r="12" spans="1:4" s="5" customFormat="1" x14ac:dyDescent="0.25">
      <c r="A12" s="68" t="s">
        <v>4</v>
      </c>
      <c r="B12" s="70" t="s">
        <v>5</v>
      </c>
      <c r="C12" s="72" t="s">
        <v>6</v>
      </c>
      <c r="D12" s="73"/>
    </row>
    <row r="13" spans="1:4" s="5" customFormat="1" ht="30.75" thickBot="1" x14ac:dyDescent="0.3">
      <c r="A13" s="69"/>
      <c r="B13" s="71"/>
      <c r="C13" s="6" t="s">
        <v>7</v>
      </c>
      <c r="D13" s="7" t="s">
        <v>8</v>
      </c>
    </row>
    <row r="14" spans="1:4" x14ac:dyDescent="0.25">
      <c r="A14" s="62" t="s">
        <v>9</v>
      </c>
      <c r="B14" s="63"/>
      <c r="C14" s="63"/>
      <c r="D14" s="64"/>
    </row>
    <row r="15" spans="1:4" x14ac:dyDescent="0.25">
      <c r="A15" s="41" t="s">
        <v>10</v>
      </c>
      <c r="B15" s="8" t="s">
        <v>74</v>
      </c>
      <c r="C15" s="9">
        <f>2855*44*4</f>
        <v>502480</v>
      </c>
      <c r="D15" s="10"/>
    </row>
    <row r="16" spans="1:4" x14ac:dyDescent="0.25">
      <c r="A16" s="41" t="s">
        <v>49</v>
      </c>
      <c r="B16" s="8" t="s">
        <v>75</v>
      </c>
      <c r="C16" s="9">
        <f>2855*109*4</f>
        <v>1244780</v>
      </c>
      <c r="D16" s="10"/>
    </row>
    <row r="17" spans="1:4" ht="15.75" thickBot="1" x14ac:dyDescent="0.3">
      <c r="A17" s="37" t="s">
        <v>23</v>
      </c>
      <c r="B17" s="38"/>
      <c r="C17" s="39">
        <f>SUM(C15:C16)</f>
        <v>1747260</v>
      </c>
      <c r="D17" s="40"/>
    </row>
    <row r="18" spans="1:4" x14ac:dyDescent="0.25">
      <c r="A18" s="62" t="s">
        <v>11</v>
      </c>
      <c r="B18" s="63"/>
      <c r="C18" s="63"/>
      <c r="D18" s="64"/>
    </row>
    <row r="19" spans="1:4" x14ac:dyDescent="0.25">
      <c r="A19" s="58" t="s">
        <v>25</v>
      </c>
      <c r="B19" s="59"/>
      <c r="C19" s="59"/>
      <c r="D19" s="60"/>
    </row>
    <row r="20" spans="1:4" x14ac:dyDescent="0.25">
      <c r="A20" s="42" t="s">
        <v>43</v>
      </c>
      <c r="B20" s="11" t="s">
        <v>42</v>
      </c>
      <c r="C20" s="12">
        <f>ROUND((866.1*0.76*154),0)</f>
        <v>101368</v>
      </c>
      <c r="D20" s="10">
        <f t="shared" ref="D20:D26" si="0">C20/12/$C$48</f>
        <v>55.211328976034864</v>
      </c>
    </row>
    <row r="21" spans="1:4" x14ac:dyDescent="0.25">
      <c r="A21" s="41" t="s">
        <v>72</v>
      </c>
      <c r="B21" s="8" t="s">
        <v>60</v>
      </c>
      <c r="C21" s="9">
        <f>7000*25</f>
        <v>175000</v>
      </c>
      <c r="D21" s="10">
        <f t="shared" si="0"/>
        <v>95.315904139433556</v>
      </c>
    </row>
    <row r="22" spans="1:4" x14ac:dyDescent="0.25">
      <c r="A22" s="51" t="s">
        <v>45</v>
      </c>
      <c r="B22" s="13" t="s">
        <v>61</v>
      </c>
      <c r="C22" s="14">
        <f>ROUND((200*6.39+20*2.41),0)</f>
        <v>1326</v>
      </c>
      <c r="D22" s="55">
        <f t="shared" si="0"/>
        <v>0.72222222222222221</v>
      </c>
    </row>
    <row r="23" spans="1:4" ht="30" x14ac:dyDescent="0.25">
      <c r="A23" s="43" t="s">
        <v>50</v>
      </c>
      <c r="B23" s="13" t="s">
        <v>62</v>
      </c>
      <c r="C23" s="14">
        <f>3226*10</f>
        <v>32260</v>
      </c>
      <c r="D23" s="10">
        <f t="shared" si="0"/>
        <v>17.570806100217865</v>
      </c>
    </row>
    <row r="24" spans="1:4" x14ac:dyDescent="0.25">
      <c r="A24" s="44" t="s">
        <v>31</v>
      </c>
      <c r="B24" s="13" t="s">
        <v>34</v>
      </c>
      <c r="C24" s="14">
        <f>2632*40</f>
        <v>105280</v>
      </c>
      <c r="D24" s="10">
        <f t="shared" si="0"/>
        <v>57.342047930283229</v>
      </c>
    </row>
    <row r="25" spans="1:4" x14ac:dyDescent="0.25">
      <c r="A25" s="44" t="s">
        <v>63</v>
      </c>
      <c r="B25" s="13" t="s">
        <v>64</v>
      </c>
      <c r="C25" s="14">
        <f>11600*3</f>
        <v>34800</v>
      </c>
      <c r="D25" s="10">
        <f t="shared" si="0"/>
        <v>18.954248366013072</v>
      </c>
    </row>
    <row r="26" spans="1:4" x14ac:dyDescent="0.25">
      <c r="A26" s="44" t="s">
        <v>41</v>
      </c>
      <c r="B26" s="13" t="s">
        <v>65</v>
      </c>
      <c r="C26" s="14">
        <f>65000*3</f>
        <v>195000</v>
      </c>
      <c r="D26" s="10">
        <f t="shared" si="0"/>
        <v>106.20915032679738</v>
      </c>
    </row>
    <row r="27" spans="1:4" x14ac:dyDescent="0.25">
      <c r="A27" s="58" t="s">
        <v>38</v>
      </c>
      <c r="B27" s="59"/>
      <c r="C27" s="59"/>
      <c r="D27" s="60"/>
    </row>
    <row r="28" spans="1:4" ht="63" customHeight="1" x14ac:dyDescent="0.25">
      <c r="A28" s="41" t="s">
        <v>37</v>
      </c>
      <c r="B28" s="54" t="s">
        <v>51</v>
      </c>
      <c r="C28" s="9">
        <v>7000</v>
      </c>
      <c r="D28" s="50">
        <f>C28/12/$C$48</f>
        <v>3.8126361655773424</v>
      </c>
    </row>
    <row r="29" spans="1:4" x14ac:dyDescent="0.25">
      <c r="A29" s="58" t="s">
        <v>26</v>
      </c>
      <c r="B29" s="59"/>
      <c r="C29" s="59"/>
      <c r="D29" s="60"/>
    </row>
    <row r="30" spans="1:4" x14ac:dyDescent="0.25">
      <c r="A30" s="41" t="s">
        <v>47</v>
      </c>
      <c r="B30" s="8" t="s">
        <v>57</v>
      </c>
      <c r="C30" s="9">
        <f>35000*12</f>
        <v>420000</v>
      </c>
      <c r="D30" s="10">
        <f>C30/12/$C$48</f>
        <v>228.75816993464053</v>
      </c>
    </row>
    <row r="31" spans="1:4" x14ac:dyDescent="0.25">
      <c r="A31" s="41" t="s">
        <v>13</v>
      </c>
      <c r="B31" s="8" t="s">
        <v>68</v>
      </c>
      <c r="C31" s="9">
        <f>23000*12</f>
        <v>276000</v>
      </c>
      <c r="D31" s="10">
        <f>C31/12/$C$48</f>
        <v>150.32679738562092</v>
      </c>
    </row>
    <row r="32" spans="1:4" x14ac:dyDescent="0.25">
      <c r="A32" s="41" t="s">
        <v>56</v>
      </c>
      <c r="B32" s="8" t="s">
        <v>69</v>
      </c>
      <c r="C32" s="9">
        <f>3500*12</f>
        <v>42000</v>
      </c>
      <c r="D32" s="10">
        <f>C32/12/$C$48</f>
        <v>22.875816993464053</v>
      </c>
    </row>
    <row r="33" spans="1:4" x14ac:dyDescent="0.25">
      <c r="A33" s="58" t="s">
        <v>27</v>
      </c>
      <c r="B33" s="59"/>
      <c r="C33" s="59"/>
      <c r="D33" s="60"/>
    </row>
    <row r="34" spans="1:4" x14ac:dyDescent="0.25">
      <c r="A34" s="41" t="s">
        <v>14</v>
      </c>
      <c r="B34" s="15" t="s">
        <v>70</v>
      </c>
      <c r="C34" s="9">
        <f>61500*0.302*12</f>
        <v>222876</v>
      </c>
      <c r="D34" s="10">
        <f>C34/12/$C$48</f>
        <v>121.3921568627451</v>
      </c>
    </row>
    <row r="35" spans="1:4" ht="30" x14ac:dyDescent="0.25">
      <c r="A35" s="45" t="s">
        <v>15</v>
      </c>
      <c r="B35" s="16" t="s">
        <v>44</v>
      </c>
      <c r="C35" s="17">
        <f>ROUND((625537.8 + 672584.88 + 576329.28 + 14145998.8)*0.003,0)</f>
        <v>48061</v>
      </c>
      <c r="D35" s="10">
        <f>C35/12/$C$48</f>
        <v>26.177015250544663</v>
      </c>
    </row>
    <row r="36" spans="1:4" x14ac:dyDescent="0.25">
      <c r="A36" s="58" t="s">
        <v>28</v>
      </c>
      <c r="B36" s="59"/>
      <c r="C36" s="59"/>
      <c r="D36" s="60"/>
    </row>
    <row r="37" spans="1:4" x14ac:dyDescent="0.25">
      <c r="A37" s="41" t="s">
        <v>35</v>
      </c>
      <c r="B37" s="53" t="s">
        <v>39</v>
      </c>
      <c r="C37" s="9">
        <f>990*12</f>
        <v>11880</v>
      </c>
      <c r="D37" s="10">
        <f>C37/12/$C$48</f>
        <v>6.4705882352941178</v>
      </c>
    </row>
    <row r="38" spans="1:4" x14ac:dyDescent="0.25">
      <c r="A38" s="41" t="s">
        <v>36</v>
      </c>
      <c r="B38" s="53" t="s">
        <v>46</v>
      </c>
      <c r="C38" s="9">
        <f>25*50</f>
        <v>1250</v>
      </c>
      <c r="D38" s="10">
        <f>C38/12/$C$48</f>
        <v>0.68082788671023964</v>
      </c>
    </row>
    <row r="39" spans="1:4" x14ac:dyDescent="0.25">
      <c r="A39" s="58" t="s">
        <v>29</v>
      </c>
      <c r="B39" s="59"/>
      <c r="C39" s="59"/>
      <c r="D39" s="60"/>
    </row>
    <row r="40" spans="1:4" ht="30" x14ac:dyDescent="0.25">
      <c r="A40" s="47" t="s">
        <v>73</v>
      </c>
      <c r="B40" s="8" t="s">
        <v>32</v>
      </c>
      <c r="C40" s="9">
        <f>550*12</f>
        <v>6600</v>
      </c>
      <c r="D40" s="10">
        <f>C40/12/$C$48</f>
        <v>3.5947712418300655</v>
      </c>
    </row>
    <row r="41" spans="1:4" ht="30" x14ac:dyDescent="0.25">
      <c r="A41" s="44" t="s">
        <v>12</v>
      </c>
      <c r="B41" s="57" t="s">
        <v>66</v>
      </c>
      <c r="C41" s="14">
        <v>3000</v>
      </c>
      <c r="D41" s="10">
        <f>C41/12/$C$48</f>
        <v>1.6339869281045751</v>
      </c>
    </row>
    <row r="42" spans="1:4" x14ac:dyDescent="0.25">
      <c r="A42" s="41" t="s">
        <v>52</v>
      </c>
      <c r="B42" s="8" t="s">
        <v>16</v>
      </c>
      <c r="C42" s="9">
        <v>4500</v>
      </c>
      <c r="D42" s="10">
        <f>C42/12/$C$48</f>
        <v>2.4509803921568629</v>
      </c>
    </row>
    <row r="43" spans="1:4" x14ac:dyDescent="0.25">
      <c r="A43" s="41" t="s">
        <v>33</v>
      </c>
      <c r="B43" s="8" t="s">
        <v>16</v>
      </c>
      <c r="C43" s="9">
        <f>ROUND(1345.2,0)</f>
        <v>1345</v>
      </c>
      <c r="D43" s="10">
        <f>C43/12/$C$48</f>
        <v>0.73257080610021785</v>
      </c>
    </row>
    <row r="44" spans="1:4" ht="30" x14ac:dyDescent="0.25">
      <c r="A44" s="46" t="s">
        <v>17</v>
      </c>
      <c r="B44" s="18" t="s">
        <v>40</v>
      </c>
      <c r="C44" s="17">
        <v>6900</v>
      </c>
      <c r="D44" s="10">
        <f>C44/12/$C$48</f>
        <v>3.7581699346405228</v>
      </c>
    </row>
    <row r="45" spans="1:4" x14ac:dyDescent="0.25">
      <c r="A45" s="30" t="s">
        <v>22</v>
      </c>
      <c r="B45" s="31"/>
      <c r="C45" s="32">
        <f>ROUND((SUM(C20:C44)),0)</f>
        <v>1696446</v>
      </c>
      <c r="D45" s="32"/>
    </row>
    <row r="46" spans="1:4" ht="30" x14ac:dyDescent="0.25">
      <c r="A46" s="48" t="s">
        <v>30</v>
      </c>
      <c r="B46" s="20">
        <v>0.03</v>
      </c>
      <c r="C46" s="9">
        <f>ROUND((C45*0.03),0)</f>
        <v>50893</v>
      </c>
      <c r="D46" s="10"/>
    </row>
    <row r="47" spans="1:4" x14ac:dyDescent="0.25">
      <c r="A47" s="30" t="s">
        <v>21</v>
      </c>
      <c r="B47" s="31"/>
      <c r="C47" s="32">
        <f>SUM(C45:C46)</f>
        <v>1747339</v>
      </c>
      <c r="D47" s="56"/>
    </row>
    <row r="48" spans="1:4" x14ac:dyDescent="0.25">
      <c r="A48" s="49" t="s">
        <v>53</v>
      </c>
      <c r="B48" s="19"/>
      <c r="C48" s="21">
        <v>153</v>
      </c>
      <c r="D48" s="22"/>
    </row>
    <row r="49" spans="1:4" x14ac:dyDescent="0.25">
      <c r="A49" s="33" t="s">
        <v>54</v>
      </c>
      <c r="B49" s="34"/>
      <c r="C49" s="35">
        <f>ROUND((C47/C48),0)</f>
        <v>11421</v>
      </c>
      <c r="D49" s="36"/>
    </row>
    <row r="50" spans="1:4" ht="15.75" thickBot="1" x14ac:dyDescent="0.3">
      <c r="A50" s="23" t="s">
        <v>18</v>
      </c>
      <c r="B50" s="24"/>
      <c r="C50" s="25">
        <f>ROUND((C49/4),0)</f>
        <v>2855</v>
      </c>
      <c r="D50" s="26"/>
    </row>
    <row r="51" spans="1:4" x14ac:dyDescent="0.25">
      <c r="C51" s="52"/>
      <c r="D51" s="27"/>
    </row>
    <row r="52" spans="1:4" x14ac:dyDescent="0.25">
      <c r="A52" s="28" t="s">
        <v>71</v>
      </c>
      <c r="C52" s="27"/>
      <c r="D52" s="27"/>
    </row>
    <row r="53" spans="1:4" x14ac:dyDescent="0.25">
      <c r="A53" s="28"/>
      <c r="C53" s="27"/>
      <c r="D53" s="27"/>
    </row>
    <row r="54" spans="1:4" ht="42" customHeight="1" x14ac:dyDescent="0.25">
      <c r="A54" s="61" t="s">
        <v>55</v>
      </c>
      <c r="B54" s="61"/>
      <c r="C54" s="61"/>
      <c r="D54" s="61"/>
    </row>
    <row r="55" spans="1:4" x14ac:dyDescent="0.25">
      <c r="C55" s="27"/>
      <c r="D55" s="27"/>
    </row>
    <row r="56" spans="1:4" x14ac:dyDescent="0.25">
      <c r="C56" s="27"/>
      <c r="D56" s="27"/>
    </row>
    <row r="57" spans="1:4" x14ac:dyDescent="0.25">
      <c r="C57" s="27"/>
      <c r="D57" s="27"/>
    </row>
    <row r="58" spans="1:4" x14ac:dyDescent="0.25">
      <c r="A58" s="28" t="s">
        <v>48</v>
      </c>
    </row>
    <row r="59" spans="1:4" x14ac:dyDescent="0.25">
      <c r="A59" s="28"/>
    </row>
    <row r="60" spans="1:4" x14ac:dyDescent="0.25">
      <c r="A60" s="28" t="s">
        <v>19</v>
      </c>
    </row>
    <row r="62" spans="1:4" x14ac:dyDescent="0.25">
      <c r="A62" s="28" t="s">
        <v>20</v>
      </c>
    </row>
    <row r="64" spans="1:4" ht="15.75" x14ac:dyDescent="0.25">
      <c r="A64" s="2" t="str">
        <f>A9</f>
        <v>12 "сентября" 2020 г.</v>
      </c>
    </row>
    <row r="66" spans="1:3" x14ac:dyDescent="0.25">
      <c r="A66" s="29"/>
    </row>
    <row r="69" spans="1:3" x14ac:dyDescent="0.25">
      <c r="C69" s="27"/>
    </row>
  </sheetData>
  <mergeCells count="16">
    <mergeCell ref="A14:D14"/>
    <mergeCell ref="A18:D18"/>
    <mergeCell ref="A1:D1"/>
    <mergeCell ref="A2:D2"/>
    <mergeCell ref="A4:D4"/>
    <mergeCell ref="A12:A13"/>
    <mergeCell ref="B12:B13"/>
    <mergeCell ref="C12:D12"/>
    <mergeCell ref="A5:D5"/>
    <mergeCell ref="A19:D19"/>
    <mergeCell ref="A27:D27"/>
    <mergeCell ref="A29:D29"/>
    <mergeCell ref="A54:D54"/>
    <mergeCell ref="A33:D33"/>
    <mergeCell ref="A36:D36"/>
    <mergeCell ref="A39:D39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Ежекварт 2021 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Arhiv</dc:creator>
  <cp:lastModifiedBy>Елена</cp:lastModifiedBy>
  <cp:lastPrinted>2019-11-06T11:36:55Z</cp:lastPrinted>
  <dcterms:created xsi:type="dcterms:W3CDTF">2016-10-26T08:42:00Z</dcterms:created>
  <dcterms:modified xsi:type="dcterms:W3CDTF">2020-08-20T11:17:31Z</dcterms:modified>
</cp:coreProperties>
</file>